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atson\Desktop\"/>
    </mc:Choice>
  </mc:AlternateContent>
  <xr:revisionPtr revIDLastSave="0" documentId="13_ncr:1_{BDB1B2BA-EBFD-4555-9075-E12E49159CB7}" xr6:coauthVersionLast="36" xr6:coauthVersionMax="47" xr10:uidLastSave="{00000000-0000-0000-0000-000000000000}"/>
  <bookViews>
    <workbookView xWindow="6795" yWindow="495" windowWidth="34995" windowHeight="22980" xr2:uid="{ECE2B986-FD6D-4754-890A-CEDF2AB54ACB}"/>
  </bookViews>
  <sheets>
    <sheet name="VASCU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J52" i="1" s="1"/>
  <c r="K52" i="1" s="1"/>
  <c r="I51" i="1"/>
  <c r="I50" i="1"/>
  <c r="J50" i="1" s="1"/>
  <c r="K50" i="1" s="1"/>
  <c r="E67" i="1"/>
  <c r="G67" i="1" s="1"/>
  <c r="H67" i="1" s="1"/>
  <c r="H68" i="1" s="1"/>
  <c r="C13" i="1" s="1"/>
  <c r="I62" i="1"/>
  <c r="J62" i="1" s="1"/>
  <c r="F62" i="1"/>
  <c r="K62" i="1" s="1"/>
  <c r="K64" i="1" s="1"/>
  <c r="C11" i="1" s="1"/>
  <c r="F57" i="1"/>
  <c r="F56" i="1"/>
  <c r="F55" i="1"/>
  <c r="F52" i="1"/>
  <c r="J51" i="1"/>
  <c r="F51" i="1"/>
  <c r="F50" i="1"/>
  <c r="H50" i="1" s="1"/>
  <c r="I45" i="1"/>
  <c r="J45" i="1" s="1"/>
  <c r="F45" i="1"/>
  <c r="H45" i="1" s="1"/>
  <c r="I44" i="1"/>
  <c r="J44" i="1" s="1"/>
  <c r="F44" i="1"/>
  <c r="H44" i="1" s="1"/>
  <c r="I43" i="1"/>
  <c r="J43" i="1" s="1"/>
  <c r="F43" i="1"/>
  <c r="H43" i="1" s="1"/>
  <c r="I42" i="1"/>
  <c r="J42" i="1" s="1"/>
  <c r="F42" i="1"/>
  <c r="H42" i="1" s="1"/>
  <c r="I41" i="1"/>
  <c r="J41" i="1" s="1"/>
  <c r="F41" i="1"/>
  <c r="K41" i="1" s="1"/>
  <c r="I40" i="1"/>
  <c r="J40" i="1" s="1"/>
  <c r="F40" i="1"/>
  <c r="H40" i="1" s="1"/>
  <c r="I39" i="1"/>
  <c r="J39" i="1" s="1"/>
  <c r="F39" i="1"/>
  <c r="H39" i="1" s="1"/>
  <c r="I38" i="1"/>
  <c r="J38" i="1" s="1"/>
  <c r="F38" i="1"/>
  <c r="H38" i="1" s="1"/>
  <c r="I37" i="1"/>
  <c r="J37" i="1" s="1"/>
  <c r="F37" i="1"/>
  <c r="H37" i="1" s="1"/>
  <c r="C32" i="1"/>
  <c r="E32" i="1" s="1"/>
  <c r="F32" i="1" s="1"/>
  <c r="C31" i="1"/>
  <c r="E31" i="1" s="1"/>
  <c r="C26" i="1"/>
  <c r="E26" i="1" s="1"/>
  <c r="F26" i="1" s="1"/>
  <c r="C25" i="1"/>
  <c r="E25" i="1" s="1"/>
  <c r="F25" i="1" s="1"/>
  <c r="C23" i="1"/>
  <c r="E23" i="1" s="1"/>
  <c r="F23" i="1" s="1"/>
  <c r="C21" i="1"/>
  <c r="E21" i="1" s="1"/>
  <c r="F21" i="1" s="1"/>
  <c r="C20" i="1"/>
  <c r="E20" i="1" s="1"/>
  <c r="F20" i="1" s="1"/>
  <c r="C17" i="1"/>
  <c r="E17" i="1" s="1"/>
  <c r="F17" i="1" s="1"/>
  <c r="F18" i="1" s="1"/>
  <c r="C6" i="1" s="1"/>
  <c r="E2" i="1"/>
  <c r="K51" i="1" l="1"/>
  <c r="K53" i="1" s="1"/>
  <c r="H62" i="1"/>
  <c r="K40" i="1"/>
  <c r="I55" i="1"/>
  <c r="J55" i="1" s="1"/>
  <c r="K55" i="1" s="1"/>
  <c r="E33" i="1"/>
  <c r="F31" i="1"/>
  <c r="F33" i="1" s="1"/>
  <c r="C8" i="1" s="1"/>
  <c r="F67" i="1"/>
  <c r="K37" i="1"/>
  <c r="K43" i="1"/>
  <c r="K45" i="1"/>
  <c r="K38" i="1"/>
  <c r="K42" i="1"/>
  <c r="K44" i="1"/>
  <c r="K57" i="1"/>
  <c r="C24" i="1"/>
  <c r="E24" i="1" s="1"/>
  <c r="F24" i="1" s="1"/>
  <c r="I56" i="1"/>
  <c r="J56" i="1" s="1"/>
  <c r="K56" i="1" s="1"/>
  <c r="H41" i="1"/>
  <c r="H46" i="1" s="1"/>
  <c r="I67" i="1"/>
  <c r="I57" i="1"/>
  <c r="J57" i="1" s="1"/>
  <c r="C22" i="1"/>
  <c r="E22" i="1" s="1"/>
  <c r="C29" i="1"/>
  <c r="E29" i="1" s="1"/>
  <c r="F29" i="1" s="1"/>
  <c r="K39" i="1"/>
  <c r="K58" i="1" l="1"/>
  <c r="K46" i="1"/>
  <c r="C9" i="1" s="1"/>
  <c r="K59" i="1"/>
  <c r="C10" i="1" s="1"/>
  <c r="E27" i="1"/>
  <c r="F22" i="1"/>
  <c r="F27" i="1" s="1"/>
  <c r="C7" i="1" s="1"/>
</calcChain>
</file>

<file path=xl/sharedStrings.xml><?xml version="1.0" encoding="utf-8"?>
<sst xmlns="http://schemas.openxmlformats.org/spreadsheetml/2006/main" count="158" uniqueCount="123">
  <si>
    <t>SPECIMEN INFORMATION</t>
  </si>
  <si>
    <t>Explanation</t>
  </si>
  <si>
    <t>Primary collections</t>
  </si>
  <si>
    <t>Duplicates</t>
  </si>
  <si>
    <t>Total specimens</t>
  </si>
  <si>
    <t># of sheets:</t>
  </si>
  <si>
    <t>Expected number of sheets of vascular plants to be collected</t>
  </si>
  <si>
    <t>Yellow cells ONLY to be entered by curator.</t>
  </si>
  <si>
    <t>**NB: Certain groups of plants may have requirements not accommodated by this spreadsheet (e.g., palms, pines, cycads, bulky fruits). Please consult herbarium staff if you anticipate collecting specimens of such groups.</t>
  </si>
  <si>
    <t>TOTAL COSTS TO INCLUDE IN GRANT</t>
  </si>
  <si>
    <t>Total FTE/cost</t>
  </si>
  <si>
    <t>LABOR</t>
  </si>
  <si>
    <t>Mounter FTE</t>
  </si>
  <si>
    <t>For FTEs, please consult with Liz Rivas for current salaries so the salary amount for each FTE can be calculated correctly.</t>
  </si>
  <si>
    <t>Curatorial Assistant FTE</t>
  </si>
  <si>
    <t>Imaging Lab Coordinator FTE</t>
  </si>
  <si>
    <t>SUPPLIES</t>
  </si>
  <si>
    <t>Total supplies needed</t>
  </si>
  <si>
    <t>SHIPPING (supplies &amp; postage)</t>
  </si>
  <si>
    <t>IMAGING (storage)</t>
  </si>
  <si>
    <t>GEOREFERENCING</t>
  </si>
  <si>
    <t>Herbarium cabinet storage</t>
  </si>
  <si>
    <t>number of items to be processed</t>
  </si>
  <si>
    <t>number of items/hr</t>
  </si>
  <si>
    <t>number of hrs needed</t>
  </si>
  <si>
    <t>FTE needed</t>
  </si>
  <si>
    <t>Mounting collections</t>
  </si>
  <si>
    <t>Number of sheets (vascular plants)</t>
  </si>
  <si>
    <t>Total Mounter FTE</t>
  </si>
  <si>
    <t>Processing collections</t>
  </si>
  <si>
    <t>Data entry</t>
  </si>
  <si>
    <t>Data entry in EMu</t>
  </si>
  <si>
    <t>Data import</t>
  </si>
  <si>
    <t>Data import into EMu</t>
  </si>
  <si>
    <t>Making labels</t>
  </si>
  <si>
    <t>Printing, proofreading, corrections in Emu, cutting</t>
  </si>
  <si>
    <t>Sort, insert labels, set aside gifts for det, store in cold room, record in EMu.</t>
  </si>
  <si>
    <t>Processing dets</t>
  </si>
  <si>
    <t>Pull dups from cold room, add annotation labels, select NY sheet, get mounted, add barcode, update EMu record, distribute dups on exchange.  Ca. 4 collections per hour.</t>
  </si>
  <si>
    <t>Filing specimens</t>
  </si>
  <si>
    <t xml:space="preserve">Ca. 45 sheets per hour with troubleshooting.  </t>
  </si>
  <si>
    <t>Barcoding</t>
  </si>
  <si>
    <t>Barcoding sheets in EMu where there are existing records.</t>
  </si>
  <si>
    <t>Total processing (Curatorial Assistant FTE)</t>
  </si>
  <si>
    <t>Shipping dups</t>
  </si>
  <si>
    <t>Sending specimens for det/exchange</t>
  </si>
  <si>
    <t xml:space="preserve">counting and packing specimens </t>
  </si>
  <si>
    <t>Imaging</t>
  </si>
  <si>
    <t>Capturing images - sheets</t>
  </si>
  <si>
    <t>100 images per hour</t>
  </si>
  <si>
    <t xml:space="preserve">Processing images </t>
  </si>
  <si>
    <t>200 images/hour</t>
  </si>
  <si>
    <t>Total imaging Lab Coordinator FTE</t>
  </si>
  <si>
    <t>SUPPLIES FOR MOUNTING/FILING</t>
  </si>
  <si>
    <t>Date of price update</t>
  </si>
  <si>
    <t>Cost of item</t>
  </si>
  <si>
    <t>Number of items at that cost</t>
  </si>
  <si>
    <t>Cost per item</t>
  </si>
  <si>
    <t>No. of specimens per item</t>
  </si>
  <si>
    <t>Cost per collection</t>
  </si>
  <si>
    <t>Number of specimens</t>
  </si>
  <si>
    <t>Number of items needed</t>
  </si>
  <si>
    <t>Cost (F*I)</t>
  </si>
  <si>
    <t>barcodes</t>
  </si>
  <si>
    <t>$50/1000 labels</t>
  </si>
  <si>
    <t>2021</t>
  </si>
  <si>
    <t>label paper</t>
  </si>
  <si>
    <r>
      <rPr>
        <u/>
        <sz val="11"/>
        <color theme="1"/>
        <rFont val="Calibri"/>
        <family val="2"/>
        <scheme val="minor"/>
      </rPr>
      <t>Steadfast</t>
    </r>
    <r>
      <rPr>
        <sz val="11"/>
        <color theme="1"/>
        <rFont val="Calibri"/>
        <family val="2"/>
        <scheme val="minor"/>
      </rPr>
      <t>: Neenah 25% Cotton 20 lb white light cockle finish.  available online for $28.95/ream.  Four labels per sheet.  Assume 5 duplicates/collection.</t>
    </r>
  </si>
  <si>
    <t>2022</t>
  </si>
  <si>
    <t>mounting paper</t>
  </si>
  <si>
    <r>
      <t>Steadfast:</t>
    </r>
    <r>
      <rPr>
        <sz val="11"/>
        <color theme="1"/>
        <rFont val="Calibri"/>
        <family val="2"/>
        <scheme val="minor"/>
      </rPr>
      <t xml:space="preserve"> 100% rag, 11-1/2 x 16-1/2" .013 acid-free buffered paper</t>
    </r>
  </si>
  <si>
    <t>Mar 2019</t>
  </si>
  <si>
    <t>glue</t>
  </si>
  <si>
    <r>
      <t>Key Polymer</t>
    </r>
    <r>
      <rPr>
        <sz val="11"/>
        <color theme="1"/>
        <rFont val="Calibri"/>
        <family val="2"/>
        <scheme val="minor"/>
      </rPr>
      <t>:  PVA, ca. 1000 sheets per gallon / ca. $58 per gallon</t>
    </r>
  </si>
  <si>
    <t>Mar 2022</t>
  </si>
  <si>
    <t>gummed cloth tape</t>
  </si>
  <si>
    <r>
      <t>Talas Online</t>
    </r>
    <r>
      <rPr>
        <sz val="11"/>
        <color theme="1"/>
        <rFont val="Calibri"/>
        <family val="2"/>
        <scheme val="minor"/>
      </rPr>
      <t xml:space="preserve">:  3"X 100 yd. ($105.95 per roll plus shipping). For each  9000 sheets mounted, one roll is used. </t>
    </r>
  </si>
  <si>
    <t>Aug 2023</t>
  </si>
  <si>
    <t>fragment packet paper</t>
  </si>
  <si>
    <r>
      <rPr>
        <u/>
        <sz val="11"/>
        <color theme="1"/>
        <rFont val="Calibri"/>
        <family val="2"/>
        <scheme val="minor"/>
      </rPr>
      <t>Steadfast</t>
    </r>
    <r>
      <rPr>
        <sz val="11"/>
        <color theme="1"/>
        <rFont val="Calibri"/>
        <family val="2"/>
        <scheme val="minor"/>
      </rPr>
      <t xml:space="preserve"> Paper bought in reams of 17.5” x 22.5” Cost $23.31/1000 packets.  One packet per sheet in phan. Multiple packets/sheet in crypt.</t>
    </r>
  </si>
  <si>
    <t>May 2023</t>
  </si>
  <si>
    <t>fragment packet cutting</t>
  </si>
  <si>
    <t>Paper then cut at printer for $18.75/1000 packets.  One packet per sheet in phan. Multiple packets/sheet in crypt.</t>
  </si>
  <si>
    <t>genus covers</t>
  </si>
  <si>
    <r>
      <t>Steadfast:</t>
    </r>
    <r>
      <rPr>
        <sz val="11"/>
        <color theme="1"/>
        <rFont val="Calibri"/>
        <family val="2"/>
        <scheme val="minor"/>
      </rPr>
      <t>Manila Tag, 150# basis. 12” x 16 13/16”. ($480/1000) and various colors (ca. $270/1000) with shipping). Avg. 15 specimens per cover.</t>
    </r>
  </si>
  <si>
    <t>Oct 2020</t>
  </si>
  <si>
    <t>species folders</t>
  </si>
  <si>
    <r>
      <rPr>
        <u/>
        <sz val="11"/>
        <color theme="1"/>
        <rFont val="Calibri"/>
        <family val="2"/>
        <scheme val="minor"/>
      </rPr>
      <t>Steadfast</t>
    </r>
    <r>
      <rPr>
        <sz val="11"/>
        <color theme="1"/>
        <rFont val="Calibri"/>
        <family val="2"/>
        <scheme val="minor"/>
      </rPr>
      <t xml:space="preserve"> Species Covers; Archival Quality Manila - Caliper .006. 16-1/2 x 23-1/8 inches. Scored once in the center and folded to 16-1/2 x 11-9/16 inches. Carton packed in 100s. (ca. $225 per 1000 with shipping). Avg. 15 specimens per cover.</t>
    </r>
  </si>
  <si>
    <t>Nov 2021</t>
  </si>
  <si>
    <t>TOTAL COST OF SUPPLIES</t>
  </si>
  <si>
    <t>SHIPPING</t>
  </si>
  <si>
    <t>boxes</t>
  </si>
  <si>
    <t>12" from Crown Products; assuming 150 unmounted specimens fit in the box</t>
  </si>
  <si>
    <t>Dec 2022</t>
  </si>
  <si>
    <t>cardboards</t>
  </si>
  <si>
    <t>8 sheets used per 12" box of ca. 150 unmounted specimens, i.e., 1 sheet/20 specimens</t>
  </si>
  <si>
    <t>Postage</t>
  </si>
  <si>
    <t>VERY ROUGH because very variable; say $0.70</t>
  </si>
  <si>
    <t>2010</t>
  </si>
  <si>
    <t>Total shipping for ID</t>
  </si>
  <si>
    <t>For exchange</t>
  </si>
  <si>
    <t>Total shipping for exchange</t>
  </si>
  <si>
    <t>Shipping total</t>
  </si>
  <si>
    <t>backup</t>
  </si>
  <si>
    <t>Archive images based on image storage in Saplings grant</t>
  </si>
  <si>
    <t>2023</t>
  </si>
  <si>
    <t>yearly fee for storage</t>
  </si>
  <si>
    <t>Annual maintenance fee per TB = $84, if we assume it is 7% of $1200, which comes out to $.004 per image.</t>
  </si>
  <si>
    <t>Jun 2014</t>
  </si>
  <si>
    <t>Subtotal images</t>
  </si>
  <si>
    <t>Cabinet Storage</t>
  </si>
  <si>
    <t>Cost of cabinet</t>
  </si>
  <si>
    <t>Number of sheets cabinet will hold</t>
  </si>
  <si>
    <t>Number of sheets per cubbyhole</t>
  </si>
  <si>
    <t>Number of specimens collected</t>
  </si>
  <si>
    <t>Number of cubbyholes needed</t>
  </si>
  <si>
    <t># of cabinets needed</t>
  </si>
  <si>
    <t>Cost of cabinets needed</t>
  </si>
  <si>
    <t>Cost per specimen</t>
  </si>
  <si>
    <t xml:space="preserve">Delta cabinets: Full height single-door Herbarium Cabinet, 29 5/8"W x 84"H x 19 1/2"D, no work shelf; $3000 each. Check website and get quote with shipping.  </t>
  </si>
  <si>
    <t>Total cabinets</t>
  </si>
  <si>
    <t>estimated % to send for det</t>
  </si>
  <si>
    <t>For identification (% sent for det entered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</si>
</sst>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0.0"/>
    <numFmt numFmtId="166" formatCode="#,##0.0000"/>
    <numFmt numFmtId="167" formatCode="#,##0.0000_);\(#,##0.0000\)"/>
    <numFmt numFmtId="168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1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41" fontId="3" fillId="2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64" fontId="0" fillId="4" borderId="8" xfId="0" applyNumberFormat="1" applyFill="1" applyBorder="1" applyAlignment="1">
      <alignment vertical="center" wrapText="1"/>
    </xf>
    <xf numFmtId="41" fontId="4" fillId="0" borderId="0" xfId="0" applyNumberFormat="1" applyFont="1" applyAlignment="1">
      <alignment vertical="center"/>
    </xf>
    <xf numFmtId="164" fontId="0" fillId="5" borderId="8" xfId="0" applyNumberFormat="1" applyFill="1" applyBorder="1" applyAlignment="1">
      <alignment vertical="center" wrapText="1"/>
    </xf>
    <xf numFmtId="164" fontId="0" fillId="6" borderId="8" xfId="0" applyNumberFormat="1" applyFill="1" applyBorder="1" applyAlignment="1">
      <alignment vertical="center" wrapText="1"/>
    </xf>
    <xf numFmtId="44" fontId="0" fillId="7" borderId="8" xfId="1" applyFont="1" applyFill="1" applyBorder="1" applyAlignment="1">
      <alignment vertical="center" wrapText="1"/>
    </xf>
    <xf numFmtId="44" fontId="0" fillId="8" borderId="8" xfId="1" applyFont="1" applyFill="1" applyBorder="1" applyAlignment="1">
      <alignment vertical="center" wrapText="1"/>
    </xf>
    <xf numFmtId="44" fontId="0" fillId="9" borderId="8" xfId="0" applyNumberFormat="1" applyFill="1" applyBorder="1" applyAlignment="1">
      <alignment vertical="center" wrapText="1"/>
    </xf>
    <xf numFmtId="41" fontId="0" fillId="9" borderId="8" xfId="0" applyNumberForma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4" fontId="0" fillId="10" borderId="6" xfId="0" applyNumberForma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41" fontId="6" fillId="2" borderId="2" xfId="0" applyNumberFormat="1" applyFont="1" applyFill="1" applyBorder="1" applyAlignment="1">
      <alignment vertical="center" wrapText="1"/>
    </xf>
    <xf numFmtId="2" fontId="6" fillId="2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41" fontId="7" fillId="0" borderId="10" xfId="0" applyNumberFormat="1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2" fontId="7" fillId="0" borderId="8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1" fontId="0" fillId="0" borderId="13" xfId="0" applyNumberFormat="1" applyBorder="1" applyAlignment="1">
      <alignment vertical="center" wrapText="1"/>
    </xf>
    <xf numFmtId="41" fontId="0" fillId="0" borderId="13" xfId="0" applyNumberFormat="1" applyBorder="1" applyAlignment="1">
      <alignment vertical="center" wrapText="1"/>
    </xf>
    <xf numFmtId="2" fontId="3" fillId="4" borderId="14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1" fontId="0" fillId="0" borderId="10" xfId="0" applyNumberFormat="1" applyBorder="1" applyAlignment="1">
      <alignment vertical="center" wrapText="1"/>
    </xf>
    <xf numFmtId="41" fontId="0" fillId="0" borderId="10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1" fontId="6" fillId="0" borderId="13" xfId="0" applyNumberFormat="1" applyFont="1" applyBorder="1" applyAlignment="1">
      <alignment vertical="center" wrapText="1"/>
    </xf>
    <xf numFmtId="41" fontId="6" fillId="0" borderId="13" xfId="0" applyNumberFormat="1" applyFont="1" applyBorder="1" applyAlignment="1">
      <alignment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5" borderId="14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41" fontId="3" fillId="0" borderId="0" xfId="0" applyNumberFormat="1" applyFont="1" applyAlignment="1">
      <alignment vertical="center" wrapText="1"/>
    </xf>
    <xf numFmtId="2" fontId="3" fillId="0" borderId="8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  <xf numFmtId="7" fontId="6" fillId="2" borderId="2" xfId="0" applyNumberFormat="1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4" fontId="0" fillId="0" borderId="0" xfId="1" applyFon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44" fontId="0" fillId="0" borderId="8" xfId="0" applyNumberForma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7" fontId="6" fillId="2" borderId="5" xfId="0" applyNumberFormat="1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vertical="center" wrapText="1"/>
    </xf>
    <xf numFmtId="1" fontId="6" fillId="2" borderId="5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44" fontId="6" fillId="7" borderId="6" xfId="1" applyFont="1" applyFill="1" applyBorder="1" applyAlignment="1">
      <alignment vertical="center" wrapText="1"/>
    </xf>
    <xf numFmtId="7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6" fillId="2" borderId="7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7" fontId="3" fillId="0" borderId="13" xfId="0" applyNumberFormat="1" applyFont="1" applyBorder="1" applyAlignment="1">
      <alignment vertical="center" wrapText="1"/>
    </xf>
    <xf numFmtId="2" fontId="3" fillId="0" borderId="13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vertical="center" wrapText="1"/>
    </xf>
    <xf numFmtId="1" fontId="12" fillId="0" borderId="13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44" fontId="3" fillId="0" borderId="14" xfId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8" xfId="1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7" fontId="3" fillId="2" borderId="5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1" fontId="3" fillId="2" borderId="5" xfId="0" applyNumberFormat="1" applyFont="1" applyFill="1" applyBorder="1" applyAlignment="1">
      <alignment vertical="center" wrapText="1"/>
    </xf>
    <xf numFmtId="1" fontId="12" fillId="2" borderId="5" xfId="0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44" fontId="3" fillId="8" borderId="6" xfId="1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7" fontId="0" fillId="0" borderId="0" xfId="0" applyNumberFormat="1" applyAlignment="1">
      <alignment vertical="center"/>
    </xf>
    <xf numFmtId="2" fontId="0" fillId="0" borderId="8" xfId="0" applyNumberForma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7" fontId="3" fillId="0" borderId="5" xfId="0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1" fontId="3" fillId="0" borderId="5" xfId="0" applyNumberFormat="1" applyFont="1" applyBorder="1" applyAlignment="1">
      <alignment vertical="center" wrapText="1"/>
    </xf>
    <xf numFmtId="1" fontId="12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44" fontId="3" fillId="9" borderId="6" xfId="1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top" wrapText="1"/>
    </xf>
    <xf numFmtId="168" fontId="3" fillId="11" borderId="2" xfId="0" applyNumberFormat="1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vertical="top" wrapText="1"/>
    </xf>
    <xf numFmtId="7" fontId="3" fillId="11" borderId="2" xfId="0" applyNumberFormat="1" applyFont="1" applyFill="1" applyBorder="1" applyAlignment="1">
      <alignment vertical="top" wrapText="1"/>
    </xf>
    <xf numFmtId="4" fontId="3" fillId="11" borderId="3" xfId="0" applyNumberFormat="1" applyFont="1" applyFill="1" applyBorder="1" applyAlignment="1">
      <alignment vertical="top" wrapText="1"/>
    </xf>
    <xf numFmtId="0" fontId="9" fillId="0" borderId="7" xfId="0" applyFont="1" applyBorder="1" applyAlignment="1">
      <alignment horizontal="left" wrapText="1"/>
    </xf>
    <xf numFmtId="168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7" fontId="2" fillId="0" borderId="0" xfId="0" applyNumberFormat="1" applyFont="1" applyAlignment="1">
      <alignment horizontal="left" vertical="top" wrapText="1"/>
    </xf>
    <xf numFmtId="4" fontId="2" fillId="0" borderId="8" xfId="0" applyNumberFormat="1" applyFont="1" applyBorder="1" applyAlignment="1">
      <alignment vertical="top" wrapText="1"/>
    </xf>
    <xf numFmtId="0" fontId="0" fillId="0" borderId="4" xfId="0" applyBorder="1" applyAlignment="1">
      <alignment wrapText="1"/>
    </xf>
    <xf numFmtId="168" fontId="2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65" fontId="13" fillId="0" borderId="5" xfId="0" applyNumberFormat="1" applyFont="1" applyBorder="1" applyAlignment="1">
      <alignment wrapText="1"/>
    </xf>
    <xf numFmtId="44" fontId="2" fillId="10" borderId="5" xfId="1" applyFont="1" applyFill="1" applyBorder="1" applyAlignment="1">
      <alignment vertical="top" wrapText="1"/>
    </xf>
    <xf numFmtId="4" fontId="2" fillId="0" borderId="6" xfId="0" applyNumberFormat="1" applyFont="1" applyBorder="1" applyAlignment="1">
      <alignment vertical="top" wrapText="1"/>
    </xf>
    <xf numFmtId="0" fontId="3" fillId="2" borderId="15" xfId="0" applyFont="1" applyFill="1" applyBorder="1" applyAlignment="1">
      <alignment vertical="center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7E2C-A650-47D3-B566-FF42B617B323}">
  <dimension ref="A1:M69"/>
  <sheetViews>
    <sheetView tabSelected="1" zoomScale="120" zoomScaleNormal="120" workbookViewId="0">
      <selection activeCell="H4" sqref="H4"/>
    </sheetView>
  </sheetViews>
  <sheetFormatPr defaultColWidth="9.140625" defaultRowHeight="15" x14ac:dyDescent="0.25"/>
  <cols>
    <col min="1" max="1" width="24.28515625" style="4" customWidth="1"/>
    <col min="2" max="2" width="29.28515625" style="9" customWidth="1"/>
    <col min="3" max="3" width="12.28515625" style="10" customWidth="1"/>
    <col min="4" max="5" width="11.140625" style="10" customWidth="1"/>
    <col min="6" max="6" width="16.7109375" style="11" customWidth="1"/>
    <col min="7" max="7" width="9.28515625" style="4" bestFit="1" customWidth="1"/>
    <col min="8" max="8" width="16.140625" style="4" customWidth="1"/>
    <col min="9" max="9" width="9.28515625" style="4" bestFit="1" customWidth="1"/>
    <col min="10" max="10" width="9.140625" style="4"/>
    <col min="11" max="11" width="13.140625" style="4" customWidth="1"/>
    <col min="12" max="16384" width="9.140625" style="4"/>
  </cols>
  <sheetData>
    <row r="1" spans="1:13" ht="44.1" customHeight="1" thickTop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121</v>
      </c>
      <c r="G1" s="158"/>
      <c r="H1" s="159"/>
    </row>
    <row r="2" spans="1:13" ht="44.1" customHeight="1" thickBot="1" x14ac:dyDescent="0.3">
      <c r="A2" s="5" t="s">
        <v>5</v>
      </c>
      <c r="B2" s="6" t="s">
        <v>6</v>
      </c>
      <c r="C2" s="7">
        <v>1000</v>
      </c>
      <c r="D2" s="7">
        <v>5</v>
      </c>
      <c r="E2" s="8">
        <f>C2*D2</f>
        <v>5000</v>
      </c>
      <c r="F2" s="7">
        <v>0.5</v>
      </c>
      <c r="G2" s="155" t="s">
        <v>7</v>
      </c>
      <c r="H2" s="156"/>
      <c r="I2" s="157" t="s">
        <v>8</v>
      </c>
      <c r="J2" s="157"/>
      <c r="K2" s="157"/>
      <c r="L2" s="157"/>
      <c r="M2" s="157"/>
    </row>
    <row r="3" spans="1:13" ht="15.75" thickTop="1" x14ac:dyDescent="0.25"/>
    <row r="4" spans="1:13" ht="15.75" thickBot="1" x14ac:dyDescent="0.3"/>
    <row r="5" spans="1:13" ht="30.75" thickTop="1" x14ac:dyDescent="0.25">
      <c r="A5" s="12" t="s">
        <v>9</v>
      </c>
      <c r="B5" s="13"/>
      <c r="C5" s="14" t="s">
        <v>10</v>
      </c>
      <c r="E5" s="4"/>
    </row>
    <row r="6" spans="1:13" ht="20.100000000000001" customHeight="1" x14ac:dyDescent="0.25">
      <c r="A6" s="15" t="s">
        <v>11</v>
      </c>
      <c r="B6" s="9" t="s">
        <v>12</v>
      </c>
      <c r="C6" s="16">
        <f>F18</f>
        <v>8.6580086580086577E-2</v>
      </c>
      <c r="D6" s="17" t="s">
        <v>13</v>
      </c>
    </row>
    <row r="7" spans="1:13" ht="20.100000000000001" customHeight="1" x14ac:dyDescent="0.25">
      <c r="A7" s="15"/>
      <c r="B7" s="9" t="s">
        <v>14</v>
      </c>
      <c r="C7" s="18">
        <f>F27</f>
        <v>0.64844453928960977</v>
      </c>
    </row>
    <row r="8" spans="1:13" ht="20.100000000000001" customHeight="1" x14ac:dyDescent="0.25">
      <c r="A8" s="15"/>
      <c r="B8" s="9" t="s">
        <v>15</v>
      </c>
      <c r="C8" s="19">
        <f>F33</f>
        <v>7.4747474747474752E-3</v>
      </c>
    </row>
    <row r="9" spans="1:13" ht="20.100000000000001" customHeight="1" x14ac:dyDescent="0.25">
      <c r="A9" s="15" t="s">
        <v>16</v>
      </c>
      <c r="B9" s="9" t="s">
        <v>17</v>
      </c>
      <c r="C9" s="20">
        <f>K46</f>
        <v>510.00555555555559</v>
      </c>
    </row>
    <row r="10" spans="1:13" ht="32.25" customHeight="1" x14ac:dyDescent="0.25">
      <c r="A10" s="15" t="s">
        <v>18</v>
      </c>
      <c r="C10" s="21">
        <f>K59</f>
        <v>3374.666666666667</v>
      </c>
    </row>
    <row r="11" spans="1:13" ht="20.100000000000001" customHeight="1" x14ac:dyDescent="0.25">
      <c r="A11" s="15" t="s">
        <v>19</v>
      </c>
      <c r="C11" s="22">
        <f>K64</f>
        <v>91.666666666666657</v>
      </c>
    </row>
    <row r="12" spans="1:13" ht="20.100000000000001" customHeight="1" x14ac:dyDescent="0.25">
      <c r="A12" s="15" t="s">
        <v>20</v>
      </c>
      <c r="C12" s="23"/>
    </row>
    <row r="13" spans="1:13" ht="30.75" customHeight="1" thickBot="1" x14ac:dyDescent="0.3">
      <c r="A13" s="24" t="s">
        <v>21</v>
      </c>
      <c r="B13" s="6"/>
      <c r="C13" s="25">
        <f>H68</f>
        <v>3846.1538461538466</v>
      </c>
    </row>
    <row r="14" spans="1:13" ht="16.5" thickTop="1" thickBot="1" x14ac:dyDescent="0.3"/>
    <row r="15" spans="1:13" s="30" customFormat="1" ht="45.75" thickTop="1" x14ac:dyDescent="0.25">
      <c r="A15" s="26" t="s">
        <v>11</v>
      </c>
      <c r="B15" s="27" t="s">
        <v>1</v>
      </c>
      <c r="C15" s="28" t="s">
        <v>22</v>
      </c>
      <c r="D15" s="28" t="s">
        <v>23</v>
      </c>
      <c r="E15" s="28" t="s">
        <v>24</v>
      </c>
      <c r="F15" s="29" t="s">
        <v>25</v>
      </c>
    </row>
    <row r="16" spans="1:13" x14ac:dyDescent="0.25">
      <c r="A16" s="31" t="s">
        <v>26</v>
      </c>
      <c r="B16" s="32"/>
      <c r="C16" s="33"/>
      <c r="D16" s="33"/>
      <c r="E16" s="33"/>
      <c r="F16" s="34"/>
    </row>
    <row r="17" spans="1:6" ht="30" x14ac:dyDescent="0.25">
      <c r="A17" s="35"/>
      <c r="B17" s="4" t="s">
        <v>27</v>
      </c>
      <c r="C17" s="36">
        <f>C2</f>
        <v>1000</v>
      </c>
      <c r="D17" s="37">
        <v>7</v>
      </c>
      <c r="E17" s="36">
        <f>C17/D17</f>
        <v>142.85714285714286</v>
      </c>
      <c r="F17" s="38">
        <f>E17/1650</f>
        <v>8.6580086580086577E-2</v>
      </c>
    </row>
    <row r="18" spans="1:6" x14ac:dyDescent="0.25">
      <c r="A18" s="39" t="s">
        <v>28</v>
      </c>
      <c r="B18" s="40"/>
      <c r="C18" s="41"/>
      <c r="D18" s="42"/>
      <c r="E18" s="42"/>
      <c r="F18" s="43">
        <f>SUM(F16:F17)</f>
        <v>8.6580086580086577E-2</v>
      </c>
    </row>
    <row r="19" spans="1:6" x14ac:dyDescent="0.25">
      <c r="A19" s="31" t="s">
        <v>29</v>
      </c>
      <c r="B19" s="44"/>
      <c r="C19" s="45"/>
      <c r="D19" s="46"/>
      <c r="E19" s="46"/>
      <c r="F19" s="47"/>
    </row>
    <row r="20" spans="1:6" x14ac:dyDescent="0.25">
      <c r="A20" s="48" t="s">
        <v>30</v>
      </c>
      <c r="B20" s="9" t="s">
        <v>31</v>
      </c>
      <c r="C20" s="36">
        <f>C2</f>
        <v>1000</v>
      </c>
      <c r="D20" s="36">
        <v>30</v>
      </c>
      <c r="E20" s="36">
        <f t="shared" ref="E20:E26" si="0">C20/D20</f>
        <v>33.333333333333336</v>
      </c>
      <c r="F20" s="38">
        <f t="shared" ref="F20:F26" si="1">E20/1650</f>
        <v>2.0202020202020204E-2</v>
      </c>
    </row>
    <row r="21" spans="1:6" x14ac:dyDescent="0.25">
      <c r="A21" s="48" t="s">
        <v>32</v>
      </c>
      <c r="B21" s="9" t="s">
        <v>33</v>
      </c>
      <c r="C21" s="36">
        <f>C2</f>
        <v>1000</v>
      </c>
      <c r="D21" s="36">
        <v>142</v>
      </c>
      <c r="E21" s="36">
        <f t="shared" si="0"/>
        <v>7.042253521126761</v>
      </c>
      <c r="F21" s="38">
        <f t="shared" si="1"/>
        <v>4.268032437046522E-3</v>
      </c>
    </row>
    <row r="22" spans="1:6" ht="30" x14ac:dyDescent="0.25">
      <c r="A22" s="48" t="s">
        <v>34</v>
      </c>
      <c r="B22" s="9" t="s">
        <v>35</v>
      </c>
      <c r="C22" s="36">
        <f>SUM(E2)</f>
        <v>5000</v>
      </c>
      <c r="D22" s="36">
        <v>142</v>
      </c>
      <c r="E22" s="49">
        <f t="shared" si="0"/>
        <v>35.2112676056338</v>
      </c>
      <c r="F22" s="38">
        <f t="shared" si="1"/>
        <v>2.1340162185232606E-2</v>
      </c>
    </row>
    <row r="23" spans="1:6" ht="41.1" customHeight="1" x14ac:dyDescent="0.25">
      <c r="A23" s="48" t="s">
        <v>29</v>
      </c>
      <c r="B23" s="9" t="s">
        <v>36</v>
      </c>
      <c r="C23" s="36">
        <f>C2</f>
        <v>1000</v>
      </c>
      <c r="D23" s="36">
        <v>6</v>
      </c>
      <c r="E23" s="49">
        <f t="shared" si="0"/>
        <v>166.66666666666666</v>
      </c>
      <c r="F23" s="38">
        <f t="shared" si="1"/>
        <v>0.10101010101010101</v>
      </c>
    </row>
    <row r="24" spans="1:6" ht="90" x14ac:dyDescent="0.25">
      <c r="A24" s="48" t="s">
        <v>37</v>
      </c>
      <c r="B24" s="9" t="s">
        <v>38</v>
      </c>
      <c r="C24" s="36">
        <f>SUM(E2:E2)</f>
        <v>5000</v>
      </c>
      <c r="D24" s="36">
        <v>6</v>
      </c>
      <c r="E24" s="49">
        <f t="shared" si="0"/>
        <v>833.33333333333337</v>
      </c>
      <c r="F24" s="38">
        <f t="shared" si="1"/>
        <v>0.50505050505050508</v>
      </c>
    </row>
    <row r="25" spans="1:6" ht="30" x14ac:dyDescent="0.25">
      <c r="A25" s="50" t="s">
        <v>39</v>
      </c>
      <c r="B25" s="9" t="s">
        <v>40</v>
      </c>
      <c r="C25" s="36">
        <f>C2</f>
        <v>1000</v>
      </c>
      <c r="D25" s="36">
        <v>45</v>
      </c>
      <c r="E25" s="49">
        <f t="shared" si="0"/>
        <v>22.222222222222221</v>
      </c>
      <c r="F25" s="38">
        <f t="shared" si="1"/>
        <v>1.3468013468013467E-2</v>
      </c>
    </row>
    <row r="26" spans="1:6" ht="30" x14ac:dyDescent="0.25">
      <c r="A26" s="50" t="s">
        <v>41</v>
      </c>
      <c r="B26" s="9" t="s">
        <v>42</v>
      </c>
      <c r="C26" s="36">
        <f>C2</f>
        <v>1000</v>
      </c>
      <c r="D26" s="36">
        <v>80</v>
      </c>
      <c r="E26" s="49">
        <f t="shared" si="0"/>
        <v>12.5</v>
      </c>
      <c r="F26" s="38">
        <f t="shared" si="1"/>
        <v>7.575757575757576E-3</v>
      </c>
    </row>
    <row r="27" spans="1:6" s="30" customFormat="1" x14ac:dyDescent="0.25">
      <c r="A27" s="51" t="s">
        <v>43</v>
      </c>
      <c r="B27" s="52"/>
      <c r="C27" s="53"/>
      <c r="D27" s="54"/>
      <c r="E27" s="55">
        <f>SUM(E22:E26)</f>
        <v>1069.933489827856</v>
      </c>
      <c r="F27" s="56">
        <f>SUM(F22:F26)</f>
        <v>0.64844453928960977</v>
      </c>
    </row>
    <row r="28" spans="1:6" x14ac:dyDescent="0.25">
      <c r="A28" s="31" t="s">
        <v>44</v>
      </c>
      <c r="B28" s="44"/>
      <c r="C28" s="45"/>
      <c r="D28" s="46"/>
      <c r="E28" s="46"/>
      <c r="F28" s="47"/>
    </row>
    <row r="29" spans="1:6" ht="35.1" customHeight="1" x14ac:dyDescent="0.25">
      <c r="A29" s="50" t="s">
        <v>45</v>
      </c>
      <c r="B29" s="9" t="s">
        <v>46</v>
      </c>
      <c r="C29" s="36">
        <f>E2-C2</f>
        <v>4000</v>
      </c>
      <c r="D29" s="36">
        <v>80</v>
      </c>
      <c r="E29" s="49">
        <f>C29/D29</f>
        <v>50</v>
      </c>
      <c r="F29" s="38">
        <f>E29/1650</f>
        <v>3.0303030303030304E-2</v>
      </c>
    </row>
    <row r="30" spans="1:6" s="62" customFormat="1" x14ac:dyDescent="0.25">
      <c r="A30" s="57" t="s">
        <v>47</v>
      </c>
      <c r="B30" s="58"/>
      <c r="C30" s="59"/>
      <c r="D30" s="60"/>
      <c r="E30" s="60"/>
      <c r="F30" s="61"/>
    </row>
    <row r="31" spans="1:6" x14ac:dyDescent="0.25">
      <c r="A31" s="48" t="s">
        <v>48</v>
      </c>
      <c r="B31" s="9" t="s">
        <v>49</v>
      </c>
      <c r="C31" s="36">
        <f>C2</f>
        <v>1000</v>
      </c>
      <c r="D31" s="63">
        <v>120</v>
      </c>
      <c r="E31" s="49">
        <f>C31/D31</f>
        <v>8.3333333333333339</v>
      </c>
      <c r="F31" s="38">
        <f>E31/1650</f>
        <v>5.0505050505050509E-3</v>
      </c>
    </row>
    <row r="32" spans="1:6" x14ac:dyDescent="0.25">
      <c r="A32" s="48" t="s">
        <v>50</v>
      </c>
      <c r="B32" s="64" t="s">
        <v>51</v>
      </c>
      <c r="C32" s="36">
        <f>C2</f>
        <v>1000</v>
      </c>
      <c r="D32" s="36">
        <v>250</v>
      </c>
      <c r="E32" s="49">
        <f>C32/D32</f>
        <v>4</v>
      </c>
      <c r="F32" s="38">
        <f>E32/1650</f>
        <v>2.4242424242424242E-3</v>
      </c>
    </row>
    <row r="33" spans="1:11" s="62" customFormat="1" ht="15.75" thickBot="1" x14ac:dyDescent="0.3">
      <c r="A33" s="65" t="s">
        <v>52</v>
      </c>
      <c r="B33" s="66"/>
      <c r="C33" s="67"/>
      <c r="D33" s="67"/>
      <c r="E33" s="68">
        <f>SUM(E31:E32)</f>
        <v>12.333333333333334</v>
      </c>
      <c r="F33" s="69">
        <f>SUM(F31:F32)</f>
        <v>7.4747474747474752E-3</v>
      </c>
    </row>
    <row r="34" spans="1:11" ht="15.75" thickTop="1" x14ac:dyDescent="0.25"/>
    <row r="35" spans="1:11" ht="15.75" thickBot="1" x14ac:dyDescent="0.3"/>
    <row r="36" spans="1:11" ht="60.75" thickTop="1" x14ac:dyDescent="0.25">
      <c r="A36" s="26" t="s">
        <v>53</v>
      </c>
      <c r="B36" s="70" t="s">
        <v>1</v>
      </c>
      <c r="C36" s="71" t="s">
        <v>54</v>
      </c>
      <c r="D36" s="72" t="s">
        <v>55</v>
      </c>
      <c r="E36" s="70" t="s">
        <v>56</v>
      </c>
      <c r="F36" s="73" t="s">
        <v>57</v>
      </c>
      <c r="G36" s="74" t="s">
        <v>58</v>
      </c>
      <c r="H36" s="73" t="s">
        <v>59</v>
      </c>
      <c r="I36" s="75" t="s">
        <v>60</v>
      </c>
      <c r="J36" s="76" t="s">
        <v>61</v>
      </c>
      <c r="K36" s="29" t="s">
        <v>62</v>
      </c>
    </row>
    <row r="37" spans="1:11" x14ac:dyDescent="0.25">
      <c r="A37" s="50" t="s">
        <v>63</v>
      </c>
      <c r="B37" s="4" t="s">
        <v>64</v>
      </c>
      <c r="C37" s="77" t="s">
        <v>65</v>
      </c>
      <c r="D37" s="78">
        <v>50</v>
      </c>
      <c r="E37" s="4">
        <v>1000</v>
      </c>
      <c r="F37" s="78">
        <f>D37/E37</f>
        <v>0.05</v>
      </c>
      <c r="G37" s="79">
        <v>1</v>
      </c>
      <c r="H37" s="11">
        <f>F37/G37</f>
        <v>0.05</v>
      </c>
      <c r="I37" s="80">
        <f>C2</f>
        <v>1000</v>
      </c>
      <c r="J37" s="81">
        <f>I37/G37</f>
        <v>1000</v>
      </c>
      <c r="K37" s="82">
        <f>F37*J37</f>
        <v>50</v>
      </c>
    </row>
    <row r="38" spans="1:11" ht="90" x14ac:dyDescent="0.25">
      <c r="A38" s="83" t="s">
        <v>66</v>
      </c>
      <c r="B38" s="4" t="s">
        <v>67</v>
      </c>
      <c r="C38" s="77" t="s">
        <v>68</v>
      </c>
      <c r="D38" s="78">
        <v>28.95</v>
      </c>
      <c r="E38" s="4">
        <v>500</v>
      </c>
      <c r="F38" s="78">
        <f>D38/E38</f>
        <v>5.79E-2</v>
      </c>
      <c r="G38" s="79">
        <v>4</v>
      </c>
      <c r="H38" s="11">
        <f>F38/G38</f>
        <v>1.4475E-2</v>
      </c>
      <c r="I38" s="80">
        <f>C2*5</f>
        <v>5000</v>
      </c>
      <c r="J38" s="81">
        <f t="shared" ref="J38:J43" si="2">I38/G38</f>
        <v>1250</v>
      </c>
      <c r="K38" s="82">
        <f>F38*J38</f>
        <v>72.375</v>
      </c>
    </row>
    <row r="39" spans="1:11" ht="45" x14ac:dyDescent="0.25">
      <c r="A39" s="50" t="s">
        <v>69</v>
      </c>
      <c r="B39" s="84" t="s">
        <v>70</v>
      </c>
      <c r="C39" s="85" t="s">
        <v>71</v>
      </c>
      <c r="D39" s="78">
        <v>320</v>
      </c>
      <c r="E39" s="4">
        <v>1000</v>
      </c>
      <c r="F39" s="78">
        <f t="shared" ref="F39:F45" si="3">D39/E39</f>
        <v>0.32</v>
      </c>
      <c r="G39" s="79">
        <v>1</v>
      </c>
      <c r="H39" s="11">
        <f t="shared" ref="H39:H45" si="4">F39/G39</f>
        <v>0.32</v>
      </c>
      <c r="I39" s="80">
        <f>C2</f>
        <v>1000</v>
      </c>
      <c r="J39" s="81">
        <f t="shared" si="2"/>
        <v>1000</v>
      </c>
      <c r="K39" s="82">
        <f t="shared" ref="K39:K45" si="5">F39*J39</f>
        <v>320</v>
      </c>
    </row>
    <row r="40" spans="1:11" ht="45" x14ac:dyDescent="0.25">
      <c r="A40" s="50" t="s">
        <v>72</v>
      </c>
      <c r="B40" s="84" t="s">
        <v>73</v>
      </c>
      <c r="C40" s="85" t="s">
        <v>74</v>
      </c>
      <c r="D40" s="78">
        <v>58</v>
      </c>
      <c r="E40" s="4">
        <v>1000</v>
      </c>
      <c r="F40" s="78">
        <f t="shared" si="3"/>
        <v>5.8000000000000003E-2</v>
      </c>
      <c r="G40" s="79">
        <v>1</v>
      </c>
      <c r="H40" s="11">
        <f t="shared" si="4"/>
        <v>5.8000000000000003E-2</v>
      </c>
      <c r="I40" s="80">
        <f>C2</f>
        <v>1000</v>
      </c>
      <c r="J40" s="81">
        <f t="shared" si="2"/>
        <v>1000</v>
      </c>
      <c r="K40" s="82">
        <f t="shared" si="5"/>
        <v>58</v>
      </c>
    </row>
    <row r="41" spans="1:11" ht="60" x14ac:dyDescent="0.25">
      <c r="A41" s="50" t="s">
        <v>75</v>
      </c>
      <c r="B41" s="84" t="s">
        <v>76</v>
      </c>
      <c r="C41" s="85" t="s">
        <v>77</v>
      </c>
      <c r="D41" s="78">
        <v>105.95</v>
      </c>
      <c r="E41" s="4">
        <v>9000</v>
      </c>
      <c r="F41" s="78">
        <f t="shared" si="3"/>
        <v>1.1772222222222222E-2</v>
      </c>
      <c r="G41" s="79">
        <v>1</v>
      </c>
      <c r="H41" s="11">
        <f t="shared" si="4"/>
        <v>1.1772222222222222E-2</v>
      </c>
      <c r="I41" s="80">
        <f>C2</f>
        <v>1000</v>
      </c>
      <c r="J41" s="81">
        <f t="shared" si="2"/>
        <v>1000</v>
      </c>
      <c r="K41" s="82">
        <f t="shared" si="5"/>
        <v>11.772222222222222</v>
      </c>
    </row>
    <row r="42" spans="1:11" ht="90" x14ac:dyDescent="0.25">
      <c r="A42" s="50" t="s">
        <v>78</v>
      </c>
      <c r="B42" s="4" t="s">
        <v>79</v>
      </c>
      <c r="C42" s="77" t="s">
        <v>80</v>
      </c>
      <c r="D42" s="78">
        <v>55.55</v>
      </c>
      <c r="E42" s="4">
        <v>1000</v>
      </c>
      <c r="F42" s="78">
        <f t="shared" si="3"/>
        <v>5.5549999999999995E-2</v>
      </c>
      <c r="G42" s="79">
        <v>1</v>
      </c>
      <c r="H42" s="11">
        <f t="shared" si="4"/>
        <v>5.5549999999999995E-2</v>
      </c>
      <c r="I42" s="80">
        <f>C2</f>
        <v>1000</v>
      </c>
      <c r="J42" s="81">
        <f t="shared" si="2"/>
        <v>1000</v>
      </c>
      <c r="K42" s="82">
        <f t="shared" si="5"/>
        <v>55.55</v>
      </c>
    </row>
    <row r="43" spans="1:11" ht="75" x14ac:dyDescent="0.25">
      <c r="A43" s="50" t="s">
        <v>81</v>
      </c>
      <c r="B43" s="4" t="s">
        <v>82</v>
      </c>
      <c r="C43" s="64"/>
      <c r="D43" s="78">
        <v>18.75</v>
      </c>
      <c r="E43" s="4">
        <v>1000</v>
      </c>
      <c r="F43" s="78">
        <f t="shared" si="3"/>
        <v>1.8749999999999999E-2</v>
      </c>
      <c r="G43" s="79">
        <v>1</v>
      </c>
      <c r="H43" s="11">
        <f t="shared" si="4"/>
        <v>1.8749999999999999E-2</v>
      </c>
      <c r="I43" s="80">
        <f>C2</f>
        <v>1000</v>
      </c>
      <c r="J43" s="81">
        <f t="shared" si="2"/>
        <v>1000</v>
      </c>
      <c r="K43" s="82">
        <f t="shared" si="5"/>
        <v>18.75</v>
      </c>
    </row>
    <row r="44" spans="1:11" ht="75" x14ac:dyDescent="0.25">
      <c r="A44" s="50" t="s">
        <v>83</v>
      </c>
      <c r="B44" s="84" t="s">
        <v>84</v>
      </c>
      <c r="C44" s="85" t="s">
        <v>85</v>
      </c>
      <c r="D44" s="78">
        <v>480</v>
      </c>
      <c r="E44" s="4">
        <v>1000</v>
      </c>
      <c r="F44" s="78">
        <f t="shared" si="3"/>
        <v>0.48</v>
      </c>
      <c r="G44" s="79">
        <v>15</v>
      </c>
      <c r="H44" s="11">
        <f t="shared" si="4"/>
        <v>3.2000000000000001E-2</v>
      </c>
      <c r="I44" s="80">
        <f>C2</f>
        <v>1000</v>
      </c>
      <c r="J44" s="81">
        <f>I44/G44</f>
        <v>66.666666666666671</v>
      </c>
      <c r="K44" s="82">
        <f t="shared" si="5"/>
        <v>32</v>
      </c>
    </row>
    <row r="45" spans="1:11" ht="135" x14ac:dyDescent="0.25">
      <c r="A45" s="50" t="s">
        <v>86</v>
      </c>
      <c r="B45" s="4" t="s">
        <v>87</v>
      </c>
      <c r="C45" s="77" t="s">
        <v>88</v>
      </c>
      <c r="D45" s="78">
        <v>209</v>
      </c>
      <c r="E45" s="4">
        <v>1000</v>
      </c>
      <c r="F45" s="78">
        <f t="shared" si="3"/>
        <v>0.20899999999999999</v>
      </c>
      <c r="G45" s="79">
        <v>15</v>
      </c>
      <c r="H45" s="11">
        <f t="shared" si="4"/>
        <v>1.3933333333333332E-2</v>
      </c>
      <c r="I45" s="80">
        <f>C2</f>
        <v>1000</v>
      </c>
      <c r="J45" s="81">
        <f>I45/G45</f>
        <v>66.666666666666671</v>
      </c>
      <c r="K45" s="82">
        <f t="shared" si="5"/>
        <v>13.933333333333334</v>
      </c>
    </row>
    <row r="46" spans="1:11" ht="15.75" thickBot="1" x14ac:dyDescent="0.3">
      <c r="A46" s="86" t="s">
        <v>89</v>
      </c>
      <c r="B46" s="87"/>
      <c r="C46" s="88"/>
      <c r="D46" s="89"/>
      <c r="E46" s="87"/>
      <c r="F46" s="90"/>
      <c r="G46" s="91"/>
      <c r="H46" s="90">
        <f>SUM(H39:H45)</f>
        <v>0.5100055555555556</v>
      </c>
      <c r="I46" s="92"/>
      <c r="J46" s="93"/>
      <c r="K46" s="94">
        <f>SUM(K39:K45)</f>
        <v>510.00555555555559</v>
      </c>
    </row>
    <row r="47" spans="1:11" ht="16.5" thickTop="1" thickBot="1" x14ac:dyDescent="0.3">
      <c r="A47" s="50"/>
      <c r="B47" s="4"/>
      <c r="C47" s="77"/>
      <c r="D47" s="95"/>
      <c r="E47" s="4"/>
      <c r="F47" s="96"/>
      <c r="G47" s="97"/>
      <c r="I47" s="98"/>
    </row>
    <row r="48" spans="1:11" ht="16.5" thickTop="1" thickBot="1" x14ac:dyDescent="0.3">
      <c r="A48" s="154" t="s">
        <v>90</v>
      </c>
      <c r="B48" s="100"/>
      <c r="C48" s="100"/>
      <c r="D48" s="100"/>
      <c r="E48" s="100"/>
      <c r="F48" s="100"/>
      <c r="G48" s="100"/>
      <c r="H48" s="100"/>
      <c r="I48" s="101"/>
      <c r="J48" s="100"/>
      <c r="K48" s="102"/>
    </row>
    <row r="49" spans="1:11" ht="60.75" thickTop="1" x14ac:dyDescent="0.25">
      <c r="A49" s="103" t="s">
        <v>122</v>
      </c>
      <c r="B49" s="70" t="s">
        <v>1</v>
      </c>
      <c r="C49" s="71" t="s">
        <v>54</v>
      </c>
      <c r="D49" s="72" t="s">
        <v>55</v>
      </c>
      <c r="E49" s="70" t="s">
        <v>56</v>
      </c>
      <c r="F49" s="73" t="s">
        <v>57</v>
      </c>
      <c r="G49" s="74" t="s">
        <v>58</v>
      </c>
      <c r="H49" s="73" t="s">
        <v>59</v>
      </c>
      <c r="I49" s="75" t="s">
        <v>60</v>
      </c>
      <c r="J49" s="76" t="s">
        <v>61</v>
      </c>
      <c r="K49" s="29" t="s">
        <v>62</v>
      </c>
    </row>
    <row r="50" spans="1:11" ht="45" x14ac:dyDescent="0.25">
      <c r="A50" s="50" t="s">
        <v>91</v>
      </c>
      <c r="B50" s="4" t="s">
        <v>92</v>
      </c>
      <c r="C50" s="77" t="s">
        <v>93</v>
      </c>
      <c r="D50" s="95">
        <v>914</v>
      </c>
      <c r="E50" s="4">
        <v>200</v>
      </c>
      <c r="F50" s="78">
        <f t="shared" ref="F50:F52" si="6">D50/E50</f>
        <v>4.57</v>
      </c>
      <c r="G50" s="79">
        <v>150</v>
      </c>
      <c r="H50" s="11">
        <f t="shared" ref="H50" si="7">F50/G50</f>
        <v>3.046666666666667E-2</v>
      </c>
      <c r="I50" s="80">
        <f>C2*F2</f>
        <v>500</v>
      </c>
      <c r="J50" s="81">
        <f>I50/G50</f>
        <v>3.3333333333333335</v>
      </c>
      <c r="K50" s="82">
        <f t="shared" ref="K50:K52" si="8">F50*J50</f>
        <v>15.233333333333334</v>
      </c>
    </row>
    <row r="51" spans="1:11" ht="45" x14ac:dyDescent="0.25">
      <c r="A51" s="50" t="s">
        <v>94</v>
      </c>
      <c r="B51" s="4" t="s">
        <v>95</v>
      </c>
      <c r="C51" s="77" t="s">
        <v>93</v>
      </c>
      <c r="D51" s="95">
        <v>1320</v>
      </c>
      <c r="E51" s="4">
        <v>2000</v>
      </c>
      <c r="F51" s="78">
        <f t="shared" si="6"/>
        <v>0.66</v>
      </c>
      <c r="G51" s="79">
        <v>20</v>
      </c>
      <c r="H51" s="11">
        <v>1.9550000000000001E-2</v>
      </c>
      <c r="I51" s="80">
        <f>C2*F2</f>
        <v>500</v>
      </c>
      <c r="J51" s="81">
        <f t="shared" ref="J51:J52" si="9">I51/G51</f>
        <v>25</v>
      </c>
      <c r="K51" s="82">
        <f t="shared" si="8"/>
        <v>16.5</v>
      </c>
    </row>
    <row r="52" spans="1:11" ht="30" x14ac:dyDescent="0.25">
      <c r="A52" s="50" t="s">
        <v>96</v>
      </c>
      <c r="B52" s="4" t="s">
        <v>97</v>
      </c>
      <c r="C52" s="77" t="s">
        <v>98</v>
      </c>
      <c r="D52" s="95">
        <v>0.7</v>
      </c>
      <c r="E52" s="4">
        <v>1</v>
      </c>
      <c r="F52" s="78">
        <f t="shared" si="6"/>
        <v>0.7</v>
      </c>
      <c r="G52" s="79">
        <v>1</v>
      </c>
      <c r="H52" s="11">
        <v>0.7</v>
      </c>
      <c r="I52" s="80">
        <f>C2*F2</f>
        <v>500</v>
      </c>
      <c r="J52" s="81">
        <f t="shared" si="9"/>
        <v>500</v>
      </c>
      <c r="K52" s="82">
        <f t="shared" si="8"/>
        <v>350</v>
      </c>
    </row>
    <row r="53" spans="1:11" x14ac:dyDescent="0.25">
      <c r="A53" s="39" t="s">
        <v>99</v>
      </c>
      <c r="B53" s="104"/>
      <c r="C53" s="105"/>
      <c r="D53" s="106"/>
      <c r="E53" s="104"/>
      <c r="F53" s="107"/>
      <c r="G53" s="108"/>
      <c r="H53" s="107">
        <v>0.73634999999999995</v>
      </c>
      <c r="I53" s="109"/>
      <c r="J53" s="110"/>
      <c r="K53" s="111">
        <f>SUM(K50:K52)</f>
        <v>381.73333333333335</v>
      </c>
    </row>
    <row r="54" spans="1:11" x14ac:dyDescent="0.25">
      <c r="A54" s="103" t="s">
        <v>100</v>
      </c>
      <c r="B54" s="64"/>
      <c r="C54" s="64"/>
      <c r="D54" s="64"/>
      <c r="E54" s="64"/>
      <c r="F54" s="64"/>
      <c r="G54" s="64"/>
      <c r="H54" s="64"/>
      <c r="I54" s="112"/>
      <c r="J54" s="64"/>
      <c r="K54" s="113"/>
    </row>
    <row r="55" spans="1:11" ht="45" x14ac:dyDescent="0.25">
      <c r="A55" s="50" t="s">
        <v>91</v>
      </c>
      <c r="B55" s="4" t="s">
        <v>92</v>
      </c>
      <c r="C55" s="77" t="s">
        <v>93</v>
      </c>
      <c r="D55" s="95">
        <v>914</v>
      </c>
      <c r="E55" s="4">
        <v>400</v>
      </c>
      <c r="F55" s="78">
        <f t="shared" ref="F55:F57" si="10">D55/E55</f>
        <v>2.2850000000000001</v>
      </c>
      <c r="G55" s="79">
        <v>150</v>
      </c>
      <c r="H55" s="11">
        <v>2.52E-2</v>
      </c>
      <c r="I55" s="80">
        <f>E2-C2</f>
        <v>4000</v>
      </c>
      <c r="J55" s="81">
        <f t="shared" ref="J55:J57" si="11">I55/G55</f>
        <v>26.666666666666668</v>
      </c>
      <c r="K55" s="82">
        <f t="shared" ref="K55:K57" si="12">F55*J55</f>
        <v>60.933333333333337</v>
      </c>
    </row>
    <row r="56" spans="1:11" ht="45" x14ac:dyDescent="0.25">
      <c r="A56" s="50" t="s">
        <v>94</v>
      </c>
      <c r="B56" s="4" t="s">
        <v>95</v>
      </c>
      <c r="C56" s="77" t="s">
        <v>93</v>
      </c>
      <c r="D56" s="95">
        <v>1320</v>
      </c>
      <c r="E56" s="4">
        <v>2000</v>
      </c>
      <c r="F56" s="78">
        <f t="shared" si="10"/>
        <v>0.66</v>
      </c>
      <c r="G56" s="79">
        <v>20</v>
      </c>
      <c r="H56" s="11">
        <v>2.4437500000000001E-2</v>
      </c>
      <c r="I56" s="80">
        <f>E2-C2</f>
        <v>4000</v>
      </c>
      <c r="J56" s="81">
        <f t="shared" si="11"/>
        <v>200</v>
      </c>
      <c r="K56" s="82">
        <f t="shared" si="12"/>
        <v>132</v>
      </c>
    </row>
    <row r="57" spans="1:11" ht="30" x14ac:dyDescent="0.25">
      <c r="A57" s="50" t="s">
        <v>96</v>
      </c>
      <c r="B57" s="4" t="s">
        <v>97</v>
      </c>
      <c r="C57" s="77" t="s">
        <v>98</v>
      </c>
      <c r="D57" s="95">
        <v>0.7</v>
      </c>
      <c r="E57" s="4">
        <v>1</v>
      </c>
      <c r="F57" s="78">
        <f t="shared" si="10"/>
        <v>0.7</v>
      </c>
      <c r="G57" s="79">
        <v>1</v>
      </c>
      <c r="H57" s="11">
        <v>1</v>
      </c>
      <c r="I57" s="80">
        <f>E2-C2</f>
        <v>4000</v>
      </c>
      <c r="J57" s="81">
        <f t="shared" si="11"/>
        <v>4000</v>
      </c>
      <c r="K57" s="82">
        <f t="shared" si="12"/>
        <v>2800</v>
      </c>
    </row>
    <row r="58" spans="1:11" ht="30" x14ac:dyDescent="0.25">
      <c r="A58" s="15" t="s">
        <v>101</v>
      </c>
      <c r="B58" s="4"/>
      <c r="C58" s="77"/>
      <c r="D58" s="95"/>
      <c r="E58" s="4"/>
      <c r="G58" s="79"/>
      <c r="H58" s="11"/>
      <c r="I58" s="80"/>
      <c r="J58" s="81"/>
      <c r="K58" s="114">
        <f>SUM(K55:K57)</f>
        <v>2992.9333333333334</v>
      </c>
    </row>
    <row r="59" spans="1:11" ht="15.75" thickBot="1" x14ac:dyDescent="0.3">
      <c r="A59" s="115" t="s">
        <v>102</v>
      </c>
      <c r="B59" s="116"/>
      <c r="C59" s="117"/>
      <c r="D59" s="118"/>
      <c r="E59" s="116"/>
      <c r="F59" s="119"/>
      <c r="G59" s="120"/>
      <c r="H59" s="119"/>
      <c r="I59" s="121"/>
      <c r="J59" s="122"/>
      <c r="K59" s="123">
        <f>K53+K58</f>
        <v>3374.666666666667</v>
      </c>
    </row>
    <row r="60" spans="1:11" ht="16.5" thickTop="1" thickBot="1" x14ac:dyDescent="0.3">
      <c r="A60" s="50"/>
      <c r="B60" s="4"/>
      <c r="C60" s="77"/>
      <c r="D60" s="95"/>
      <c r="E60" s="4"/>
      <c r="F60" s="96"/>
      <c r="G60" s="97"/>
      <c r="I60" s="98"/>
    </row>
    <row r="61" spans="1:11" ht="60.75" thickTop="1" x14ac:dyDescent="0.25">
      <c r="A61" s="99" t="s">
        <v>47</v>
      </c>
      <c r="B61" s="70" t="s">
        <v>1</v>
      </c>
      <c r="C61" s="71" t="s">
        <v>54</v>
      </c>
      <c r="D61" s="72" t="s">
        <v>55</v>
      </c>
      <c r="E61" s="70" t="s">
        <v>56</v>
      </c>
      <c r="F61" s="73" t="s">
        <v>57</v>
      </c>
      <c r="G61" s="74" t="s">
        <v>58</v>
      </c>
      <c r="H61" s="73" t="s">
        <v>59</v>
      </c>
      <c r="I61" s="75" t="s">
        <v>60</v>
      </c>
      <c r="J61" s="76" t="s">
        <v>61</v>
      </c>
      <c r="K61" s="29" t="s">
        <v>62</v>
      </c>
    </row>
    <row r="62" spans="1:11" ht="30" x14ac:dyDescent="0.25">
      <c r="A62" s="50" t="s">
        <v>103</v>
      </c>
      <c r="B62" s="4" t="s">
        <v>104</v>
      </c>
      <c r="C62" s="77" t="s">
        <v>105</v>
      </c>
      <c r="D62" s="95">
        <v>8250</v>
      </c>
      <c r="E62" s="30">
        <v>90000</v>
      </c>
      <c r="F62" s="78">
        <f t="shared" ref="F62" si="13">D62/E62</f>
        <v>9.166666666666666E-2</v>
      </c>
      <c r="G62" s="79">
        <v>1</v>
      </c>
      <c r="H62" s="11">
        <f t="shared" ref="H62" si="14">F62/G62</f>
        <v>9.166666666666666E-2</v>
      </c>
      <c r="I62" s="80">
        <f>C2</f>
        <v>1000</v>
      </c>
      <c r="J62" s="81">
        <f>I62/G62</f>
        <v>1000</v>
      </c>
      <c r="K62" s="82">
        <f t="shared" ref="K62" si="15">F62*J62</f>
        <v>91.666666666666657</v>
      </c>
    </row>
    <row r="63" spans="1:11" ht="60" x14ac:dyDescent="0.25">
      <c r="A63" s="50" t="s">
        <v>106</v>
      </c>
      <c r="B63" s="4" t="s">
        <v>107</v>
      </c>
      <c r="C63" s="124" t="s">
        <v>108</v>
      </c>
      <c r="D63" s="125"/>
      <c r="E63" s="64"/>
      <c r="F63" s="11">
        <v>0.01</v>
      </c>
      <c r="G63" s="79"/>
      <c r="H63" s="11">
        <v>0</v>
      </c>
      <c r="I63" s="80"/>
      <c r="J63" s="81"/>
      <c r="K63" s="126">
        <v>0</v>
      </c>
    </row>
    <row r="64" spans="1:11" ht="15.75" thickBot="1" x14ac:dyDescent="0.3">
      <c r="A64" s="24" t="s">
        <v>109</v>
      </c>
      <c r="B64" s="127"/>
      <c r="C64" s="128"/>
      <c r="D64" s="129"/>
      <c r="E64" s="127"/>
      <c r="F64" s="130"/>
      <c r="G64" s="131"/>
      <c r="H64" s="130">
        <v>0</v>
      </c>
      <c r="I64" s="132"/>
      <c r="J64" s="133"/>
      <c r="K64" s="134">
        <f>SUM(K62:K63)</f>
        <v>91.666666666666657</v>
      </c>
    </row>
    <row r="65" spans="1:9" ht="16.5" thickTop="1" thickBot="1" x14ac:dyDescent="0.3"/>
    <row r="66" spans="1:9" ht="60.75" thickTop="1" x14ac:dyDescent="0.25">
      <c r="A66" s="135" t="s">
        <v>110</v>
      </c>
      <c r="B66" s="136" t="s">
        <v>111</v>
      </c>
      <c r="C66" s="137" t="s">
        <v>112</v>
      </c>
      <c r="D66" s="137" t="s">
        <v>113</v>
      </c>
      <c r="E66" s="137" t="s">
        <v>114</v>
      </c>
      <c r="F66" s="137" t="s">
        <v>115</v>
      </c>
      <c r="G66" s="137" t="s">
        <v>116</v>
      </c>
      <c r="H66" s="138" t="s">
        <v>117</v>
      </c>
      <c r="I66" s="139" t="s">
        <v>118</v>
      </c>
    </row>
    <row r="67" spans="1:9" ht="105" x14ac:dyDescent="0.25">
      <c r="A67" s="140" t="s">
        <v>119</v>
      </c>
      <c r="B67" s="141">
        <v>3000</v>
      </c>
      <c r="C67" s="142">
        <v>780</v>
      </c>
      <c r="D67" s="142">
        <v>30</v>
      </c>
      <c r="E67" s="143">
        <f>C2</f>
        <v>1000</v>
      </c>
      <c r="F67" s="143">
        <f>E67/D67</f>
        <v>33.333333333333336</v>
      </c>
      <c r="G67" s="144">
        <f>E67/C67</f>
        <v>1.2820512820512822</v>
      </c>
      <c r="H67" s="145">
        <f>G67*B67</f>
        <v>3846.1538461538466</v>
      </c>
      <c r="I67" s="146">
        <f>H67/E67</f>
        <v>3.8461538461538467</v>
      </c>
    </row>
    <row r="68" spans="1:9" ht="15.75" thickBot="1" x14ac:dyDescent="0.3">
      <c r="A68" s="147" t="s">
        <v>120</v>
      </c>
      <c r="B68" s="148"/>
      <c r="C68" s="149"/>
      <c r="D68" s="149"/>
      <c r="E68" s="149"/>
      <c r="F68" s="150"/>
      <c r="G68" s="151"/>
      <c r="H68" s="152">
        <f>H67</f>
        <v>3846.1538461538466</v>
      </c>
      <c r="I68" s="153"/>
    </row>
    <row r="69" spans="1:9" ht="15.75" thickTop="1" x14ac:dyDescent="0.25"/>
  </sheetData>
  <mergeCells count="3">
    <mergeCell ref="G2:H2"/>
    <mergeCell ref="I2:M2"/>
    <mergeCell ref="G1:H1"/>
  </mergeCells>
  <printOptions headings="1" gridLines="1"/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VASCULAR</vt:lpstr>
    </vt:vector>
  </TitlesOfParts>
  <Company>New York Botanical Garden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Tarnowsky, Nicole</dc:creator>
  <cp:lastModifiedBy>Windows User</cp:lastModifiedBy>
  <dcterms:created xsi:type="dcterms:W3CDTF">2023-08-29T20:25:11Z</dcterms:created>
  <dcterms:modified xsi:type="dcterms:W3CDTF">2023-09-01T14:51:13Z</dcterms:modified>
</cp:coreProperties>
</file>